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8" activeTab="0"/>
  </bookViews>
  <sheets>
    <sheet name="Home" sheetId="1" r:id="rId1"/>
    <sheet name="Instructions" sheetId="2" r:id="rId2"/>
    <sheet name="Extra" sheetId="3" r:id="rId3"/>
    <sheet name="Values" sheetId="4" r:id="rId4"/>
  </sheets>
  <definedNames>
    <definedName name="AmpCurrent">'Home'!$H$27</definedName>
    <definedName name="AmpOut">'Home'!$H$8</definedName>
    <definedName name="AmpPower">'Home'!$H$26</definedName>
    <definedName name="AmpVolts">'Home'!$H$9</definedName>
    <definedName name="EffSpLoad">'Home'!$C$24</definedName>
    <definedName name="HeadImp">'Home'!$H$7</definedName>
    <definedName name="HPCurrent">'Home'!$H$31</definedName>
    <definedName name="HPVoltDrop">'Home'!$H$37</definedName>
    <definedName name="Res1">'Home'!$H$14</definedName>
    <definedName name="Res2">'Home'!$H$16</definedName>
    <definedName name="Res3">'Home'!$H$17</definedName>
    <definedName name="Res4">'Extra'!$B$11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15" authorId="0">
      <text>
        <r>
          <rPr>
            <sz val="10"/>
            <color indexed="8"/>
            <rFont val="Arial"/>
            <family val="2"/>
          </rPr>
          <t>This is the preferred resistor network headphone interface. Using it my amp and headphones work best with Res2=6 ohms and Res3=2 ohms. That gives my amp a 7.9 ohm Effective Speaker Load and a nice low 1.5 Effective Headphone Output Impedance with an attenuation of 12.4dB.</t>
        </r>
      </text>
    </comment>
    <comment ref="F8" authorId="0">
      <text>
        <r>
          <rPr>
            <sz val="10"/>
            <rFont val="Arial"/>
            <family val="2"/>
          </rPr>
          <t>Adding at least a load resistor is recommended to run headphones with a tube amp designed for speakers. You can connect the resistor directly between the + and - speaker jacks.</t>
        </r>
      </text>
    </comment>
    <comment ref="H7" authorId="0">
      <text>
        <r>
          <rPr>
            <sz val="10"/>
            <rFont val="Arial"/>
            <family val="2"/>
          </rPr>
          <t>My HE-500 headphones are rated at 32 ohms impedance.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" authorId="0">
      <text>
        <r>
          <rPr>
            <sz val="10"/>
            <rFont val="Arial"/>
            <family val="2"/>
          </rPr>
          <t>This network uses the values input on the Home page for R1, R2 &amp; R3. Input the value of R4 on this page.</t>
        </r>
      </text>
    </comment>
  </commentList>
</comments>
</file>

<file path=xl/sharedStrings.xml><?xml version="1.0" encoding="utf-8"?>
<sst xmlns="http://schemas.openxmlformats.org/spreadsheetml/2006/main" count="120" uniqueCount="87">
  <si>
    <t>Headphone Resistor Network Calculator</t>
  </si>
  <si>
    <t>by Rob Robinette</t>
  </si>
  <si>
    <t>V1.3.1</t>
  </si>
  <si>
    <t>Add Speaker Load for Tube Amp with Output Transformer</t>
  </si>
  <si>
    <t>Enter Values in Yellow</t>
  </si>
  <si>
    <t>Headphone Impedance</t>
  </si>
  <si>
    <t>--Headphone's rated impedance</t>
  </si>
  <si>
    <t>Amp Output Impedance</t>
  </si>
  <si>
    <r>
      <t xml:space="preserve">--Usually &lt; 0.1 ohm. </t>
    </r>
    <r>
      <rPr>
        <b/>
        <sz val="12"/>
        <rFont val="Arial"/>
        <family val="2"/>
      </rPr>
      <t>Use 0.1 unless you know it</t>
    </r>
    <r>
      <rPr>
        <sz val="12"/>
        <rFont val="Arial"/>
        <family val="2"/>
      </rPr>
      <t>.</t>
    </r>
  </si>
  <si>
    <t>Effective Speaker Load</t>
  </si>
  <si>
    <t>Amp Output Voltage*</t>
  </si>
  <si>
    <t>--*This is optional. It is used in the amp and headphone calculations below.</t>
  </si>
  <si>
    <t>Effective Headphone Output Impedance</t>
  </si>
  <si>
    <t>Amplifier Attenuation</t>
  </si>
  <si>
    <t>None</t>
  </si>
  <si>
    <t>Preferred Headphone Resistor Network – Adds Attenuation &amp; Speaker Load</t>
  </si>
  <si>
    <t>Resistor1* 10 to 25 watt</t>
  </si>
  <si>
    <t>--Resistor 1 adds Effective Speaker Load</t>
  </si>
  <si>
    <t xml:space="preserve">    *Up to 30 watts per channel amp use 10 watt resistor, 30 to 80 use 15 watt, above 80 watts use 25 watt resistor.</t>
  </si>
  <si>
    <t>Resistor2  5 watt</t>
  </si>
  <si>
    <t>Resistor3  3 watt</t>
  </si>
  <si>
    <t xml:space="preserve"> Recommended Starting Values</t>
  </si>
  <si>
    <t>R1</t>
  </si>
  <si>
    <t>Rated Amp Speaker Load + 2</t>
  </si>
  <si>
    <t>R2</t>
  </si>
  <si>
    <t>R3 x 3</t>
  </si>
  <si>
    <t>R3</t>
  </si>
  <si>
    <t>Amplifier Output to Preferred Resistor Network</t>
  </si>
  <si>
    <t>dB</t>
  </si>
  <si>
    <t>Amplifier Power</t>
  </si>
  <si>
    <t>watts</t>
  </si>
  <si>
    <t>Amplifier Current</t>
  </si>
  <si>
    <t>amps</t>
  </si>
  <si>
    <t>Add Attenuation Only</t>
  </si>
  <si>
    <t>Headphone Input Through Preferred Resistor Network</t>
  </si>
  <si>
    <t>Headphone Power</t>
  </si>
  <si>
    <t>milliwatts</t>
  </si>
  <si>
    <t>Headphone Current</t>
  </si>
  <si>
    <t>milliamps</t>
  </si>
  <si>
    <t>R2 and R3</t>
  </si>
  <si>
    <t>R2 Power Dissipation</t>
  </si>
  <si>
    <t>R3 Power Dissipation</t>
  </si>
  <si>
    <t>R2 Voltage Drop</t>
  </si>
  <si>
    <t>volts</t>
  </si>
  <si>
    <t>Headphone + R3 Voltage Drop</t>
  </si>
  <si>
    <t>Alternate Dual Resistor Network – Adds Attenuation &amp; Speaker Load</t>
  </si>
  <si>
    <t>Preferred Single-Ended Headphone Resistor Network</t>
  </si>
  <si>
    <t>Three Resistor Network – More Complicated Than Needed</t>
  </si>
  <si>
    <t>Single-Ended uses the same formulas as</t>
  </si>
  <si>
    <t xml:space="preserve"> the Preferred Resistor Network at upper left.</t>
  </si>
  <si>
    <t>Instructions</t>
  </si>
  <si>
    <t>A headphone resistor network helps to electrically match a pair of headphones to a speaker amplifier's speaker terminals.</t>
  </si>
  <si>
    <t>The first step is to try the headphones connected directly to the speaker amp with no resistors. Many amps sound great this way.</t>
  </si>
  <si>
    <t>If you're using a tube amp with an output transformer and you don't need attenuation use an R1 resistor to match the speaker load.</t>
  </si>
  <si>
    <t>If you hear hiss or have too little volume knob movement add a series resistor (R2) for attenuation. If you also want to match</t>
  </si>
  <si>
    <t xml:space="preserve">    your amp's speaker load then add a parallel resistor (R3) which is the “Preferred Headphone Interface.”</t>
  </si>
  <si>
    <r>
      <t>The</t>
    </r>
    <r>
      <rPr>
        <b/>
        <i/>
        <sz val="12"/>
        <rFont val="Arial"/>
        <family val="2"/>
      </rPr>
      <t xml:space="preserve"> Preferred Headphone Resistor Network</t>
    </r>
    <r>
      <rPr>
        <i/>
        <sz val="12"/>
        <rFont val="Arial"/>
        <family val="2"/>
      </rPr>
      <t xml:space="preserve"> Interface is an L-pad attenuator and </t>
    </r>
    <r>
      <rPr>
        <sz val="12"/>
        <rFont val="Arial"/>
        <family val="2"/>
      </rPr>
      <t>is the most commonly</t>
    </r>
  </si>
  <si>
    <t xml:space="preserve">   recommended headphone-to-speaker-amplifier interface.</t>
  </si>
  <si>
    <t>Fill in the yellow boxes</t>
  </si>
  <si>
    <r>
      <t>1</t>
    </r>
    <r>
      <rPr>
        <sz val="12"/>
        <rFont val="Arial"/>
        <family val="2"/>
      </rPr>
      <t>. On the Home page input your Headphone's Impedance rating and</t>
    </r>
  </si>
  <si>
    <t xml:space="preserve">    the Amp's Output Impedance (if you don't know leave it at 0.1) into the yellow input boxes.</t>
  </si>
  <si>
    <r>
      <t>2.</t>
    </r>
    <r>
      <rPr>
        <sz val="12"/>
        <rFont val="Arial"/>
        <family val="2"/>
      </rPr>
      <t xml:space="preserve"> Enter the recommended values for Resistor1, Resistor2 and Resistor3. These recommended starting values are in the blue box</t>
    </r>
  </si>
  <si>
    <t xml:space="preserve">    just below the input box.</t>
  </si>
  <si>
    <r>
      <t>3</t>
    </r>
    <r>
      <rPr>
        <sz val="12"/>
        <rFont val="Arial"/>
        <family val="2"/>
      </rPr>
      <t>. Adjust the value of Resistor2 and Resistor3 to get the desired Effective Speaker Load while trying to maintain a 3 to 1 ratio for their values,</t>
    </r>
  </si>
  <si>
    <t xml:space="preserve">    i.e., if Resistor2=6 then Resistor3 should be approximately 2. The greater the ratio between Resistor2 and Resistor3</t>
  </si>
  <si>
    <t xml:space="preserve">     the higher the Amp Attenuation.</t>
  </si>
  <si>
    <r>
      <t>4</t>
    </r>
    <r>
      <rPr>
        <sz val="12"/>
        <rFont val="Arial"/>
        <family val="2"/>
      </rPr>
      <t>. The Amp Attenuation value is used to indicate how much of your amp's power will bypass your headphones and lower its output.</t>
    </r>
  </si>
  <si>
    <t xml:space="preserve">    The higher the Amp Attenuation the lower the amp's output and the more the volume knob will have to turn. More attenuation can</t>
  </si>
  <si>
    <t xml:space="preserve">    help reduce the amp's noise floor hiss that can sometimes be heard using headphones with powerful speaker amps.</t>
  </si>
  <si>
    <r>
      <t>Note:</t>
    </r>
    <r>
      <rPr>
        <sz val="12"/>
        <rFont val="Arial"/>
        <family val="2"/>
      </rPr>
      <t xml:space="preserve"> You can cut-and-paste the “Resistor2 and Resistor3” yellow input box anywhere on the spreadsheet to make entry easier.</t>
    </r>
  </si>
  <si>
    <t>I built my Headphone Resistor Network Interface using these resistors:</t>
  </si>
  <si>
    <t xml:space="preserve">    Vishay/Dale wirewound non-innductive resistors. The exact parts from Mouser.com were: </t>
  </si>
  <si>
    <t xml:space="preserve">        Mouser part# 71-RS0056R000FB12 Vishay part# RS0056R000FB12 5watts 6ohms 1% </t>
  </si>
  <si>
    <t xml:space="preserve">        Mouser part# 71-NS2B-2 Vishay part# NS02B2R000FB12 3watts 2ohms 1% </t>
  </si>
  <si>
    <t>The resistors were about $2 each with $5 shipping.</t>
  </si>
  <si>
    <t>See this DIY on how to build a Headphone Resistor Network Interface Box</t>
  </si>
  <si>
    <t>4 Resistor Network – Way More Complicated Than Needed</t>
  </si>
  <si>
    <t xml:space="preserve">    Adds attenuation and speaker load</t>
  </si>
  <si>
    <t>Enter R4's Value</t>
  </si>
  <si>
    <t>Resistor 4 increases Amp Attenuation</t>
  </si>
  <si>
    <t>Preferred Resistor Network Common Values</t>
  </si>
  <si>
    <t>Attenuation Only</t>
  </si>
  <si>
    <t>With headphones of 32 ohms of Impedance</t>
  </si>
  <si>
    <t xml:space="preserve">With headphones Impedance of: </t>
  </si>
  <si>
    <t>Speaker Load</t>
  </si>
  <si>
    <t>Attenuation</t>
  </si>
  <si>
    <t>Ohms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</si>
</sst>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5"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2"/>
      <color indexed="18"/>
      <name val="Arial"/>
      <family val="2"/>
    </font>
    <font>
      <b/>
      <sz val="12"/>
      <color indexed="8"/>
      <name val="Arial"/>
      <family val="2"/>
    </font>
    <font>
      <sz val="12"/>
      <color indexed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color indexed="8"/>
      <name val="Segoe UI"/>
      <family val="0"/>
    </font>
    <font>
      <sz val="10"/>
      <color indexed="8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2" fillId="3" borderId="0" xfId="0" applyFont="1" applyFill="1" applyBorder="1" applyAlignment="1">
      <alignment/>
    </xf>
    <xf numFmtId="164" fontId="1" fillId="3" borderId="0" xfId="0" applyFont="1" applyFill="1" applyBorder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5" fillId="2" borderId="1" xfId="0" applyFont="1" applyFill="1" applyBorder="1" applyAlignment="1">
      <alignment horizontal="left"/>
    </xf>
    <xf numFmtId="164" fontId="0" fillId="2" borderId="2" xfId="0" applyFill="1" applyBorder="1" applyAlignment="1">
      <alignment/>
    </xf>
    <xf numFmtId="164" fontId="1" fillId="2" borderId="2" xfId="0" applyFont="1" applyFill="1" applyBorder="1" applyAlignment="1">
      <alignment/>
    </xf>
    <xf numFmtId="164" fontId="1" fillId="2" borderId="3" xfId="0" applyFont="1" applyFill="1" applyBorder="1" applyAlignment="1">
      <alignment/>
    </xf>
    <xf numFmtId="164" fontId="6" fillId="2" borderId="4" xfId="0" applyFont="1" applyFill="1" applyBorder="1" applyAlignment="1">
      <alignment/>
    </xf>
    <xf numFmtId="164" fontId="1" fillId="2" borderId="5" xfId="0" applyFont="1" applyFill="1" applyBorder="1" applyAlignment="1">
      <alignment/>
    </xf>
    <xf numFmtId="164" fontId="7" fillId="2" borderId="0" xfId="0" applyFont="1" applyFill="1" applyAlignment="1">
      <alignment/>
    </xf>
    <xf numFmtId="164" fontId="8" fillId="4" borderId="6" xfId="0" applyFont="1" applyFill="1" applyBorder="1" applyAlignment="1">
      <alignment horizontal="center"/>
    </xf>
    <xf numFmtId="164" fontId="8" fillId="2" borderId="6" xfId="0" applyFont="1" applyFill="1" applyBorder="1" applyAlignment="1">
      <alignment horizontal="center"/>
    </xf>
    <xf numFmtId="164" fontId="4" fillId="2" borderId="6" xfId="0" applyFont="1" applyFill="1" applyBorder="1" applyAlignment="1">
      <alignment/>
    </xf>
    <xf numFmtId="164" fontId="4" fillId="4" borderId="6" xfId="0" applyFont="1" applyFill="1" applyBorder="1" applyAlignment="1">
      <alignment/>
    </xf>
    <xf numFmtId="164" fontId="1" fillId="2" borderId="4" xfId="0" applyFont="1" applyFill="1" applyBorder="1" applyAlignment="1">
      <alignment horizontal="right"/>
    </xf>
    <xf numFmtId="165" fontId="8" fillId="2" borderId="0" xfId="0" applyNumberFormat="1" applyFont="1" applyFill="1" applyAlignment="1">
      <alignment/>
    </xf>
    <xf numFmtId="164" fontId="8" fillId="4" borderId="7" xfId="0" applyFont="1" applyFill="1" applyBorder="1" applyAlignment="1">
      <alignment/>
    </xf>
    <xf numFmtId="164" fontId="1" fillId="2" borderId="8" xfId="0" applyFont="1" applyFill="1" applyBorder="1" applyAlignment="1">
      <alignment horizontal="right"/>
    </xf>
    <xf numFmtId="165" fontId="8" fillId="2" borderId="9" xfId="0" applyNumberFormat="1" applyFont="1" applyFill="1" applyBorder="1" applyAlignment="1">
      <alignment horizontal="right"/>
    </xf>
    <xf numFmtId="164" fontId="1" fillId="2" borderId="9" xfId="0" applyFont="1" applyFill="1" applyBorder="1" applyAlignment="1">
      <alignment/>
    </xf>
    <xf numFmtId="164" fontId="1" fillId="2" borderId="10" xfId="0" applyFont="1" applyFill="1" applyBorder="1" applyAlignment="1">
      <alignment/>
    </xf>
    <xf numFmtId="165" fontId="1" fillId="3" borderId="0" xfId="0" applyNumberFormat="1" applyFont="1" applyFill="1" applyBorder="1" applyAlignment="1">
      <alignment/>
    </xf>
    <xf numFmtId="164" fontId="1" fillId="2" borderId="4" xfId="0" applyFont="1" applyFill="1" applyBorder="1" applyAlignment="1">
      <alignment/>
    </xf>
    <xf numFmtId="164" fontId="6" fillId="3" borderId="6" xfId="0" applyFont="1" applyFill="1" applyBorder="1" applyAlignment="1">
      <alignment/>
    </xf>
    <xf numFmtId="164" fontId="1" fillId="3" borderId="6" xfId="0" applyFont="1" applyFill="1" applyBorder="1" applyAlignment="1">
      <alignment/>
    </xf>
    <xf numFmtId="164" fontId="8" fillId="2" borderId="0" xfId="0" applyFont="1" applyFill="1" applyAlignment="1">
      <alignment/>
    </xf>
    <xf numFmtId="164" fontId="8" fillId="2" borderId="0" xfId="0" applyFont="1" applyFill="1" applyAlignment="1">
      <alignment horizontal="center"/>
    </xf>
    <xf numFmtId="165" fontId="8" fillId="2" borderId="9" xfId="0" applyNumberFormat="1" applyFont="1" applyFill="1" applyBorder="1" applyAlignment="1">
      <alignment/>
    </xf>
    <xf numFmtId="164" fontId="8" fillId="2" borderId="9" xfId="0" applyFont="1" applyFill="1" applyBorder="1" applyAlignment="1">
      <alignment/>
    </xf>
    <xf numFmtId="164" fontId="1" fillId="2" borderId="0" xfId="0" applyFont="1" applyFill="1" applyAlignment="1">
      <alignment horizontal="right"/>
    </xf>
    <xf numFmtId="164" fontId="0" fillId="3" borderId="0" xfId="0" applyFill="1" applyAlignment="1">
      <alignment/>
    </xf>
    <xf numFmtId="164" fontId="1" fillId="3" borderId="0" xfId="0" applyFont="1" applyFill="1" applyAlignment="1">
      <alignment/>
    </xf>
    <xf numFmtId="165" fontId="1" fillId="3" borderId="0" xfId="0" applyNumberFormat="1" applyFont="1" applyFill="1" applyAlignment="1">
      <alignment/>
    </xf>
    <xf numFmtId="164" fontId="8" fillId="2" borderId="1" xfId="0" applyFont="1" applyFill="1" applyBorder="1" applyAlignment="1">
      <alignment/>
    </xf>
    <xf numFmtId="164" fontId="1" fillId="2" borderId="0" xfId="0" applyFont="1" applyFill="1" applyAlignment="1">
      <alignment horizontal="center"/>
    </xf>
    <xf numFmtId="164" fontId="9" fillId="2" borderId="0" xfId="0" applyFont="1" applyFill="1" applyAlignment="1">
      <alignment horizontal="center"/>
    </xf>
    <xf numFmtId="164" fontId="2" fillId="2" borderId="0" xfId="0" applyFont="1" applyFill="1" applyAlignment="1">
      <alignment/>
    </xf>
    <xf numFmtId="164" fontId="1" fillId="4" borderId="6" xfId="0" applyFont="1" applyFill="1" applyBorder="1" applyAlignment="1">
      <alignment/>
    </xf>
    <xf numFmtId="164" fontId="12" fillId="2" borderId="0" xfId="0" applyFont="1" applyFill="1" applyAlignment="1">
      <alignment/>
    </xf>
    <xf numFmtId="164" fontId="8" fillId="2" borderId="0" xfId="0" applyFont="1" applyFill="1" applyAlignment="1">
      <alignment horizontal="left"/>
    </xf>
    <xf numFmtId="164" fontId="6" fillId="2" borderId="0" xfId="0" applyFont="1" applyFill="1" applyBorder="1" applyAlignment="1">
      <alignment horizontal="right"/>
    </xf>
    <xf numFmtId="164" fontId="1" fillId="2" borderId="0" xfId="0" applyFont="1" applyFill="1" applyBorder="1" applyAlignment="1">
      <alignment horizontal="right"/>
    </xf>
    <xf numFmtId="165" fontId="8" fillId="2" borderId="0" xfId="0" applyNumberFormat="1" applyFont="1" applyFill="1" applyBorder="1" applyAlignment="1">
      <alignment/>
    </xf>
    <xf numFmtId="164" fontId="13" fillId="2" borderId="0" xfId="0" applyFont="1" applyFill="1" applyAlignment="1">
      <alignment/>
    </xf>
    <xf numFmtId="164" fontId="13" fillId="2" borderId="0" xfId="0" applyFont="1" applyFill="1" applyAlignment="1">
      <alignment horizontal="center"/>
    </xf>
    <xf numFmtId="164" fontId="1" fillId="2" borderId="0" xfId="0" applyFont="1" applyFill="1" applyAlignment="1">
      <alignment horizontal="left"/>
    </xf>
    <xf numFmtId="164" fontId="4" fillId="2" borderId="0" xfId="0" applyFont="1" applyFill="1" applyAlignment="1">
      <alignment horizontal="left"/>
    </xf>
    <xf numFmtId="164" fontId="8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Relationship Id="rId5" Type="http://schemas.openxmlformats.org/officeDocument/2006/relationships/image" Target="../media/image13.jpeg" /><Relationship Id="rId6" Type="http://schemas.openxmlformats.org/officeDocument/2006/relationships/image" Target="../media/image1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14.emf" /><Relationship Id="rId10" Type="http://schemas.openxmlformats.org/officeDocument/2006/relationships/image" Target="../media/image15.emf" /><Relationship Id="rId11" Type="http://schemas.openxmlformats.org/officeDocument/2006/relationships/image" Target="../media/image6.emf" /><Relationship Id="rId12" Type="http://schemas.openxmlformats.org/officeDocument/2006/relationships/image" Target="../media/image16.emf" /><Relationship Id="rId13" Type="http://schemas.openxmlformats.org/officeDocument/2006/relationships/image" Target="../media/image1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Relationship Id="rId3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13</xdr:row>
      <xdr:rowOff>66675</xdr:rowOff>
    </xdr:from>
    <xdr:to>
      <xdr:col>2</xdr:col>
      <xdr:colOff>0</xdr:colOff>
      <xdr:row>18</xdr:row>
      <xdr:rowOff>47625</xdr:rowOff>
    </xdr:to>
    <xdr:pic>
      <xdr:nvPicPr>
        <xdr:cNvPr id="1" name="Graphic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752725"/>
          <a:ext cx="266700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57150</xdr:rowOff>
    </xdr:from>
    <xdr:to>
      <xdr:col>2</xdr:col>
      <xdr:colOff>0</xdr:colOff>
      <xdr:row>7</xdr:row>
      <xdr:rowOff>142875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752475"/>
          <a:ext cx="26860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28</xdr:row>
      <xdr:rowOff>38100</xdr:rowOff>
    </xdr:from>
    <xdr:to>
      <xdr:col>2</xdr:col>
      <xdr:colOff>0</xdr:colOff>
      <xdr:row>33</xdr:row>
      <xdr:rowOff>95250</xdr:rowOff>
    </xdr:to>
    <xdr:pic>
      <xdr:nvPicPr>
        <xdr:cNvPr id="3" name="Graphics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648325"/>
          <a:ext cx="26860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39</xdr:row>
      <xdr:rowOff>66675</xdr:rowOff>
    </xdr:from>
    <xdr:to>
      <xdr:col>2</xdr:col>
      <xdr:colOff>9525</xdr:colOff>
      <xdr:row>44</xdr:row>
      <xdr:rowOff>142875</xdr:rowOff>
    </xdr:to>
    <xdr:pic>
      <xdr:nvPicPr>
        <xdr:cNvPr id="4" name="Graphics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7829550"/>
          <a:ext cx="268605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51</xdr:row>
      <xdr:rowOff>104775</xdr:rowOff>
    </xdr:from>
    <xdr:to>
      <xdr:col>2</xdr:col>
      <xdr:colOff>0</xdr:colOff>
      <xdr:row>57</xdr:row>
      <xdr:rowOff>47625</xdr:rowOff>
    </xdr:to>
    <xdr:pic>
      <xdr:nvPicPr>
        <xdr:cNvPr id="5" name="Graphics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10201275"/>
          <a:ext cx="26860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304800</xdr:colOff>
      <xdr:row>44</xdr:row>
      <xdr:rowOff>9525</xdr:rowOff>
    </xdr:from>
    <xdr:to>
      <xdr:col>9</xdr:col>
      <xdr:colOff>1085850</xdr:colOff>
      <xdr:row>53</xdr:row>
      <xdr:rowOff>161925</xdr:rowOff>
    </xdr:to>
    <xdr:pic>
      <xdr:nvPicPr>
        <xdr:cNvPr id="6" name="Graphics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62650" y="8734425"/>
          <a:ext cx="3409950" cy="1905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447675</xdr:colOff>
      <xdr:row>5</xdr:row>
      <xdr:rowOff>142875</xdr:rowOff>
    </xdr:to>
    <xdr:pic>
      <xdr:nvPicPr>
        <xdr:cNvPr id="1" name="Graphic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419100</xdr:colOff>
      <xdr:row>0</xdr:row>
      <xdr:rowOff>228600</xdr:rowOff>
    </xdr:from>
    <xdr:to>
      <xdr:col>8</xdr:col>
      <xdr:colOff>619125</xdr:colOff>
      <xdr:row>6</xdr:row>
      <xdr:rowOff>28575</xdr:rowOff>
    </xdr:to>
    <xdr:pic>
      <xdr:nvPicPr>
        <xdr:cNvPr id="1" name="Graphic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28600"/>
          <a:ext cx="266700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28575</xdr:colOff>
      <xdr:row>0</xdr:row>
      <xdr:rowOff>238125</xdr:rowOff>
    </xdr:from>
    <xdr:to>
      <xdr:col>3</xdr:col>
      <xdr:colOff>657225</xdr:colOff>
      <xdr:row>5</xdr:row>
      <xdr:rowOff>152400</xdr:rowOff>
    </xdr:to>
    <xdr:pic>
      <xdr:nvPicPr>
        <xdr:cNvPr id="2" name="Graphics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38125"/>
          <a:ext cx="26574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vmlDrawing" Target="../drawings/vmlDrawing1.vml" /><Relationship Id="rId16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ProductDetail/Vishay/RS0056R000FB12/?qs=/ha2pyFadujYSO4OMc8UpoAyFPRoKhaKiWu6%2BqsCKg2lsyOcg8WIGQ==" TargetMode="External" /><Relationship Id="rId2" Type="http://schemas.openxmlformats.org/officeDocument/2006/relationships/hyperlink" Target="http://www.mouser.com/ProductDetail/Vishay/NS02B2R000FB12/?qs=/ha2pyFadujm5sC6WJBsBS7YJ4Ascgue4dmt2qCKF0p6GumVYVw3Kg==" TargetMode="External" /><Relationship Id="rId3" Type="http://schemas.openxmlformats.org/officeDocument/2006/relationships/hyperlink" Target="http://robrobinette.com/RobinetteBox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oleObject" Target="../embeddings/oleObject_2_2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7"/>
  <sheetViews>
    <sheetView tabSelected="1" zoomScale="75" zoomScaleNormal="75" workbookViewId="0" topLeftCell="A1">
      <selection activeCell="H7" sqref="H7"/>
    </sheetView>
  </sheetViews>
  <sheetFormatPr defaultColWidth="11.421875" defaultRowHeight="12.75"/>
  <cols>
    <col min="1" max="1" width="1.8515625" style="1" customWidth="1"/>
    <col min="2" max="2" width="40.28125" style="2" customWidth="1"/>
    <col min="3" max="3" width="8.57421875" style="2" customWidth="1"/>
    <col min="4" max="4" width="15.421875" style="2" customWidth="1"/>
    <col min="5" max="5" width="16.7109375" style="2" customWidth="1"/>
    <col min="6" max="6" width="2.00390625" style="2" customWidth="1"/>
    <col min="7" max="7" width="30.28125" style="2" customWidth="1"/>
    <col min="8" max="8" width="7.7109375" style="2" customWidth="1"/>
    <col min="9" max="9" width="1.421875" style="2" customWidth="1"/>
    <col min="10" max="10" width="32.140625" style="2" customWidth="1"/>
    <col min="11" max="16384" width="11.57421875" style="2" customWidth="1"/>
  </cols>
  <sheetData>
    <row r="1" spans="2:5" ht="23.25">
      <c r="B1" s="3" t="s">
        <v>0</v>
      </c>
      <c r="C1" s="4"/>
      <c r="D1" s="4"/>
      <c r="E1" s="4"/>
    </row>
    <row r="2" spans="2:6" ht="15.75">
      <c r="B2" s="5" t="s">
        <v>1</v>
      </c>
      <c r="C2" s="6"/>
      <c r="F2" s="5" t="s">
        <v>2</v>
      </c>
    </row>
    <row r="3" spans="2:5" ht="15.75">
      <c r="B3" s="7" t="s">
        <v>3</v>
      </c>
      <c r="C3" s="8"/>
      <c r="D3" s="9"/>
      <c r="E3" s="10"/>
    </row>
    <row r="4" spans="2:5" ht="15.75">
      <c r="B4" s="11"/>
      <c r="C4" s="6"/>
      <c r="E4" s="12"/>
    </row>
    <row r="5" spans="2:8" ht="15.75">
      <c r="B5" s="11"/>
      <c r="C5" s="6"/>
      <c r="E5" s="12"/>
      <c r="G5" s="13"/>
      <c r="H5" s="1"/>
    </row>
    <row r="6" spans="2:8" ht="15.75">
      <c r="B6" s="11"/>
      <c r="C6" s="6"/>
      <c r="E6" s="12"/>
      <c r="G6" s="14" t="s">
        <v>4</v>
      </c>
      <c r="H6" s="15"/>
    </row>
    <row r="7" spans="2:10" ht="15.75">
      <c r="B7" s="11"/>
      <c r="C7" s="6"/>
      <c r="E7" s="12"/>
      <c r="G7" s="16" t="s">
        <v>5</v>
      </c>
      <c r="H7" s="17">
        <v>32</v>
      </c>
      <c r="J7" s="2" t="s">
        <v>6</v>
      </c>
    </row>
    <row r="8" spans="2:10" ht="15.75">
      <c r="B8" s="11"/>
      <c r="C8" s="6"/>
      <c r="E8" s="12"/>
      <c r="G8" s="16" t="s">
        <v>7</v>
      </c>
      <c r="H8" s="17">
        <v>0.1</v>
      </c>
      <c r="J8" s="2" t="s">
        <v>8</v>
      </c>
    </row>
    <row r="9" spans="2:10" ht="15.75">
      <c r="B9" s="18" t="s">
        <v>9</v>
      </c>
      <c r="C9" s="19">
        <f>IF(AND(Res1=0,HeadImp=0),0,1/(IF(Res1=0,0,1/Res1)+IF(HeadImp=0,0,1/HeadImp)))</f>
        <v>7.619047619047619</v>
      </c>
      <c r="E9" s="12"/>
      <c r="G9" s="16" t="s">
        <v>10</v>
      </c>
      <c r="H9" s="20">
        <v>0.357</v>
      </c>
      <c r="J9" s="2" t="s">
        <v>11</v>
      </c>
    </row>
    <row r="10" spans="2:10" ht="15.75">
      <c r="B10" s="18" t="s">
        <v>12</v>
      </c>
      <c r="C10" s="19">
        <f>IF(AND(AmpOut=0,Res1=0),0,1/(IF(AmpOut=0,0,1/AmpOut)+IF(Res1=0,0,1/Res1)))</f>
        <v>0.09900990099009901</v>
      </c>
      <c r="E10" s="12"/>
      <c r="G10" s="1"/>
      <c r="H10" s="1"/>
      <c r="I10" s="1"/>
      <c r="J10" s="1"/>
    </row>
    <row r="11" spans="2:10" ht="15.75">
      <c r="B11" s="21" t="s">
        <v>13</v>
      </c>
      <c r="C11" s="22" t="s">
        <v>14</v>
      </c>
      <c r="D11" s="23"/>
      <c r="E11" s="24"/>
      <c r="F11" s="1"/>
      <c r="G11" s="1"/>
      <c r="H11" s="1"/>
      <c r="I11" s="1"/>
      <c r="J11" s="1"/>
    </row>
    <row r="12" spans="2:10" ht="15">
      <c r="B12" s="4"/>
      <c r="C12" s="25"/>
      <c r="D12" s="4"/>
      <c r="E12" s="4"/>
      <c r="F12" s="1"/>
      <c r="G12" s="1"/>
      <c r="H12" s="1"/>
      <c r="I12" s="1"/>
      <c r="J12" s="1"/>
    </row>
    <row r="13" spans="2:10" ht="15.75">
      <c r="B13" s="7" t="s">
        <v>15</v>
      </c>
      <c r="C13" s="8"/>
      <c r="D13" s="9"/>
      <c r="E13" s="10"/>
      <c r="F13" s="1"/>
      <c r="G13" s="1"/>
      <c r="H13" s="1"/>
      <c r="I13" s="1"/>
      <c r="J13" s="1"/>
    </row>
    <row r="14" spans="2:10" ht="15.75">
      <c r="B14" s="26"/>
      <c r="E14" s="12"/>
      <c r="F14" s="1"/>
      <c r="G14" s="16" t="s">
        <v>16</v>
      </c>
      <c r="H14" s="17">
        <v>10</v>
      </c>
      <c r="I14" s="1"/>
      <c r="J14" s="2" t="s">
        <v>17</v>
      </c>
    </row>
    <row r="15" spans="2:10" ht="15">
      <c r="B15" s="26"/>
      <c r="E15" s="12"/>
      <c r="F15" s="1"/>
      <c r="G15" s="1"/>
      <c r="H15" s="1"/>
      <c r="I15" s="1"/>
      <c r="J15" s="1" t="s">
        <v>18</v>
      </c>
    </row>
    <row r="16" spans="2:8" ht="15.75">
      <c r="B16" s="26"/>
      <c r="E16" s="12"/>
      <c r="F16" s="1"/>
      <c r="G16" s="16" t="s">
        <v>19</v>
      </c>
      <c r="H16" s="17">
        <v>6</v>
      </c>
    </row>
    <row r="17" spans="2:8" ht="15.75">
      <c r="B17" s="26"/>
      <c r="E17" s="12"/>
      <c r="F17" s="1"/>
      <c r="G17" s="16" t="s">
        <v>20</v>
      </c>
      <c r="H17" s="17">
        <v>2</v>
      </c>
    </row>
    <row r="18" spans="2:10" ht="15">
      <c r="B18" s="26"/>
      <c r="E18" s="12"/>
      <c r="F18" s="1"/>
      <c r="G18" s="1"/>
      <c r="H18" s="1"/>
      <c r="I18" s="1"/>
      <c r="J18" s="1"/>
    </row>
    <row r="19" spans="2:7" ht="15">
      <c r="B19" s="26"/>
      <c r="E19" s="12"/>
      <c r="F19" s="1"/>
      <c r="G19" s="13" t="s">
        <v>21</v>
      </c>
    </row>
    <row r="20" spans="2:10" ht="15">
      <c r="B20" s="26"/>
      <c r="E20" s="12"/>
      <c r="F20" s="1"/>
      <c r="G20" s="27" t="s">
        <v>22</v>
      </c>
      <c r="H20" s="28">
        <v>10</v>
      </c>
      <c r="J20" s="2" t="s">
        <v>23</v>
      </c>
    </row>
    <row r="21" spans="2:10" ht="15">
      <c r="B21" s="26"/>
      <c r="E21" s="12"/>
      <c r="F21" s="1"/>
      <c r="G21" s="27" t="s">
        <v>24</v>
      </c>
      <c r="H21" s="28">
        <f>H22*3</f>
        <v>6</v>
      </c>
      <c r="J21" s="2" t="s">
        <v>25</v>
      </c>
    </row>
    <row r="22" spans="2:8" ht="15">
      <c r="B22" s="26"/>
      <c r="E22" s="12"/>
      <c r="F22" s="1"/>
      <c r="G22" s="27" t="s">
        <v>26</v>
      </c>
      <c r="H22" s="28">
        <v>2</v>
      </c>
    </row>
    <row r="23" spans="2:8" ht="15">
      <c r="B23" s="26"/>
      <c r="E23" s="12"/>
      <c r="F23" s="1"/>
      <c r="G23" s="1"/>
      <c r="H23" s="1"/>
    </row>
    <row r="24" spans="2:8" ht="15.75">
      <c r="B24" s="18" t="s">
        <v>9</v>
      </c>
      <c r="C24" s="19">
        <f>Res2+IF(AND(Res3=0,HeadImp=0),0,1/(IF(Res3=0,0,1/Res3)+IF(HeadImp=0,0,1/HeadImp)))</f>
        <v>7.882352941176471</v>
      </c>
      <c r="D24" s="29"/>
      <c r="E24" s="12"/>
      <c r="F24" s="1"/>
      <c r="G24" s="1"/>
      <c r="H24" s="1"/>
    </row>
    <row r="25" spans="2:8" ht="15.75">
      <c r="B25" s="18" t="s">
        <v>12</v>
      </c>
      <c r="C25" s="19">
        <f>IF(AND(AmpOut=0,Res2=0,Res3=0),0,1/((IF(AmpOut+Res2=0,0,1/(AmpOut+Res2)))+IF(Res3=0,0,1/Res3)))</f>
        <v>1.5061728395061729</v>
      </c>
      <c r="D25" s="29"/>
      <c r="E25" s="12"/>
      <c r="F25" s="1"/>
      <c r="H25" s="30" t="s">
        <v>27</v>
      </c>
    </row>
    <row r="26" spans="2:9" ht="15.75">
      <c r="B26" s="21" t="s">
        <v>13</v>
      </c>
      <c r="C26" s="31">
        <f>IF(AND(Res2=0,Res3=0,HeadImp=0),0,LOG(((1/(IF(Res3=0,0,1/Res3)+IF(HeadImp=0,0,1/HeadImp))))/(Res2+1/(IF(Res3=0,0,1/Res3)+IF(HeadImp=0,0,1/HeadImp))),10))*-20</f>
        <v>12.43909640089803</v>
      </c>
      <c r="D26" s="32" t="s">
        <v>28</v>
      </c>
      <c r="E26" s="24"/>
      <c r="F26" s="1"/>
      <c r="G26" s="33" t="s">
        <v>29</v>
      </c>
      <c r="H26" s="2">
        <f>AmpVolts^2/EffSpLoad</f>
        <v>0.016168902985074625</v>
      </c>
      <c r="I26" s="2" t="s">
        <v>30</v>
      </c>
    </row>
    <row r="27" spans="2:9" ht="15">
      <c r="B27" s="34"/>
      <c r="C27" s="34"/>
      <c r="D27" s="35"/>
      <c r="E27" s="35"/>
      <c r="F27" s="1"/>
      <c r="G27" s="33" t="s">
        <v>31</v>
      </c>
      <c r="H27" s="2">
        <f>AmpVolts/EffSpLoad</f>
        <v>0.0452910447761194</v>
      </c>
      <c r="I27" s="2" t="s">
        <v>32</v>
      </c>
    </row>
    <row r="28" spans="2:6" ht="15.75">
      <c r="B28" s="7" t="s">
        <v>33</v>
      </c>
      <c r="C28" s="8"/>
      <c r="D28" s="9"/>
      <c r="E28" s="10"/>
      <c r="F28" s="1"/>
    </row>
    <row r="29" spans="2:8" ht="15.75">
      <c r="B29" s="26"/>
      <c r="E29" s="12"/>
      <c r="F29" s="1"/>
      <c r="H29" s="30" t="s">
        <v>34</v>
      </c>
    </row>
    <row r="30" spans="2:9" ht="15">
      <c r="B30" s="26"/>
      <c r="E30" s="12"/>
      <c r="F30" s="1"/>
      <c r="G30" s="33" t="s">
        <v>35</v>
      </c>
      <c r="H30" s="2">
        <f>(HPCurrent/1000)^2*HeadImp*1000</f>
        <v>0.22713120962352418</v>
      </c>
      <c r="I30" s="2" t="s">
        <v>36</v>
      </c>
    </row>
    <row r="31" spans="2:9" ht="15">
      <c r="B31" s="26"/>
      <c r="E31" s="12"/>
      <c r="F31" s="1"/>
      <c r="G31" s="33" t="s">
        <v>37</v>
      </c>
      <c r="H31" s="2">
        <f>HPVoltDrop/HeadImp*1000</f>
        <v>2.6641791044776117</v>
      </c>
      <c r="I31" s="2" t="s">
        <v>38</v>
      </c>
    </row>
    <row r="32" spans="2:6" ht="15">
      <c r="B32" s="26"/>
      <c r="E32" s="12"/>
      <c r="F32" s="1"/>
    </row>
    <row r="33" spans="2:8" ht="15.75">
      <c r="B33" s="26"/>
      <c r="E33" s="12"/>
      <c r="F33" s="1"/>
      <c r="H33" s="30" t="s">
        <v>39</v>
      </c>
    </row>
    <row r="34" spans="2:9" ht="15">
      <c r="B34" s="26"/>
      <c r="E34" s="12"/>
      <c r="F34" s="1"/>
      <c r="G34" s="33" t="s">
        <v>40</v>
      </c>
      <c r="H34" s="2">
        <f>AmpCurrent^2*Res2*1000</f>
        <v>12.307672421474715</v>
      </c>
      <c r="I34" s="2" t="s">
        <v>36</v>
      </c>
    </row>
    <row r="35" spans="2:9" ht="15.75">
      <c r="B35" s="18" t="s">
        <v>9</v>
      </c>
      <c r="C35" s="19">
        <f>Res2+HeadImp</f>
        <v>38</v>
      </c>
      <c r="D35" s="29"/>
      <c r="E35" s="12"/>
      <c r="F35" s="1"/>
      <c r="G35" s="33" t="s">
        <v>41</v>
      </c>
      <c r="H35" s="2">
        <f>(HPVoltDrop/Res3)^2*Res3*1000</f>
        <v>3.634099353976387</v>
      </c>
      <c r="I35" s="2" t="s">
        <v>36</v>
      </c>
    </row>
    <row r="36" spans="2:9" ht="15.75">
      <c r="B36" s="18" t="s">
        <v>12</v>
      </c>
      <c r="C36" s="19">
        <f>AmpOut+Res2</f>
        <v>6.1</v>
      </c>
      <c r="D36" s="29"/>
      <c r="E36" s="12"/>
      <c r="F36" s="1"/>
      <c r="G36" s="33" t="s">
        <v>42</v>
      </c>
      <c r="H36" s="2">
        <f>AmpCurrent*Res2</f>
        <v>0.2717462686567164</v>
      </c>
      <c r="I36" s="2" t="s">
        <v>43</v>
      </c>
    </row>
    <row r="37" spans="2:9" ht="15.75">
      <c r="B37" s="21" t="s">
        <v>13</v>
      </c>
      <c r="C37" s="31">
        <f>IF(AND(Res2=0,HeadImp=0),0,LOG(IF(HeadImp=0,0,HeadImp/(Res2+HeadImp)),10)*-20)</f>
        <v>1.4926723659380838</v>
      </c>
      <c r="D37" s="32" t="s">
        <v>28</v>
      </c>
      <c r="E37" s="24"/>
      <c r="F37" s="1"/>
      <c r="G37" s="33" t="s">
        <v>44</v>
      </c>
      <c r="H37" s="2">
        <f>AmpCurrent*(1/(1/Res3+1/HeadImp))</f>
        <v>0.08525373134328358</v>
      </c>
      <c r="I37" s="2" t="s">
        <v>43</v>
      </c>
    </row>
    <row r="38" spans="2:10" ht="15">
      <c r="B38" s="34"/>
      <c r="C38" s="34"/>
      <c r="D38" s="35"/>
      <c r="E38" s="35"/>
      <c r="F38" s="1"/>
      <c r="G38" s="1"/>
      <c r="H38" s="1"/>
      <c r="I38" s="1"/>
      <c r="J38" s="1"/>
    </row>
    <row r="39" spans="2:10" ht="15.75">
      <c r="B39" s="7" t="s">
        <v>45</v>
      </c>
      <c r="C39" s="8"/>
      <c r="D39" s="9"/>
      <c r="E39" s="10"/>
      <c r="F39" s="1"/>
      <c r="G39" s="1"/>
      <c r="H39" s="1"/>
      <c r="I39" s="1"/>
      <c r="J39" s="1"/>
    </row>
    <row r="40" spans="2:13" ht="15">
      <c r="B40" s="26"/>
      <c r="E40" s="12"/>
      <c r="G40" s="1"/>
      <c r="H40" s="1"/>
      <c r="I40" s="1"/>
      <c r="J40" s="1"/>
      <c r="K40" s="1"/>
      <c r="L40" s="1"/>
      <c r="M40" s="1"/>
    </row>
    <row r="41" spans="2:10" ht="15">
      <c r="B41" s="26"/>
      <c r="E41" s="12"/>
      <c r="G41" s="1"/>
      <c r="H41" s="1"/>
      <c r="I41" s="1"/>
      <c r="J41" s="1"/>
    </row>
    <row r="42" spans="2:10" ht="15">
      <c r="B42" s="26"/>
      <c r="E42" s="12"/>
      <c r="G42" s="1"/>
      <c r="H42" s="1"/>
      <c r="I42" s="1"/>
      <c r="J42" s="1"/>
    </row>
    <row r="43" spans="2:10" ht="15">
      <c r="B43" s="26"/>
      <c r="E43" s="12"/>
      <c r="G43" s="1"/>
      <c r="H43" s="1"/>
      <c r="I43" s="1"/>
      <c r="J43" s="1"/>
    </row>
    <row r="44" spans="2:8" ht="15.75">
      <c r="B44" s="26"/>
      <c r="E44" s="12"/>
      <c r="G44" s="1"/>
      <c r="H44" s="30" t="s">
        <v>46</v>
      </c>
    </row>
    <row r="45" spans="2:11" ht="15">
      <c r="B45" s="26"/>
      <c r="E45" s="12"/>
      <c r="G45" s="1"/>
      <c r="H45" s="1"/>
      <c r="K45" s="1"/>
    </row>
    <row r="46" spans="2:8" ht="15.75">
      <c r="B46" s="18" t="s">
        <v>9</v>
      </c>
      <c r="C46" s="19">
        <f>IF(AND(Res1=0,Res2=0,HeadImp=0),0,1/(IF(Res1=0,0,1/Res1)+IF(AND(Res2=0,HeadImp=0),0,1/(Res2+HeadImp))))</f>
        <v>7.916666666666666</v>
      </c>
      <c r="D46" s="29"/>
      <c r="E46" s="12"/>
      <c r="F46" s="1"/>
      <c r="G46" s="1"/>
      <c r="H46" s="1"/>
    </row>
    <row r="47" spans="2:8" ht="15.75">
      <c r="B47" s="18" t="s">
        <v>12</v>
      </c>
      <c r="C47" s="19">
        <f>IF(AND(AmpOut=0,Res1=0,Res2=0),0,IF(AND(AmpOut=0,Res1=0),0,1/(IF(AmpOut=0,0,1/AmpOut)+IF(Res1=0,0,1/Res1)))+Res2)</f>
        <v>6.099009900990099</v>
      </c>
      <c r="D47" s="29"/>
      <c r="E47" s="12"/>
      <c r="F47" s="1"/>
      <c r="G47" s="1"/>
      <c r="H47" s="1"/>
    </row>
    <row r="48" spans="2:8" ht="15.75">
      <c r="B48" s="21" t="s">
        <v>13</v>
      </c>
      <c r="C48" s="31">
        <f>IF(AND(HeadImp=0,Res2=0),0,LOG(HeadImp/(Res2+HeadImp),10)*-20)</f>
        <v>1.4926723659380838</v>
      </c>
      <c r="D48" s="32" t="s">
        <v>28</v>
      </c>
      <c r="E48" s="24"/>
      <c r="F48" s="1"/>
      <c r="G48" s="1"/>
      <c r="H48" s="1"/>
    </row>
    <row r="49" spans="2:8" ht="15">
      <c r="B49" s="35"/>
      <c r="C49" s="36"/>
      <c r="D49" s="35"/>
      <c r="E49" s="35"/>
      <c r="G49" s="1"/>
      <c r="H49" s="1"/>
    </row>
    <row r="50" spans="2:8" ht="15.75">
      <c r="B50" s="37" t="s">
        <v>47</v>
      </c>
      <c r="C50" s="9"/>
      <c r="D50" s="9"/>
      <c r="E50" s="10"/>
      <c r="G50" s="1"/>
      <c r="H50" s="1"/>
    </row>
    <row r="51" spans="2:8" ht="15">
      <c r="B51" s="26"/>
      <c r="E51" s="12"/>
      <c r="G51" s="1"/>
      <c r="H51" s="1"/>
    </row>
    <row r="52" spans="2:10" ht="15">
      <c r="B52" s="26"/>
      <c r="E52" s="12"/>
      <c r="G52" s="1"/>
      <c r="H52" s="1"/>
      <c r="I52" s="1"/>
      <c r="J52" s="1"/>
    </row>
    <row r="53" spans="2:10" ht="15">
      <c r="B53" s="26"/>
      <c r="E53" s="12"/>
      <c r="G53" s="1"/>
      <c r="H53" s="1"/>
      <c r="I53" s="1"/>
      <c r="J53" s="1"/>
    </row>
    <row r="54" spans="2:10" ht="15">
      <c r="B54" s="26"/>
      <c r="E54" s="12"/>
      <c r="G54" s="1"/>
      <c r="H54" s="1"/>
      <c r="I54" s="1"/>
      <c r="J54" s="1"/>
    </row>
    <row r="55" spans="2:8" ht="15">
      <c r="B55" s="26"/>
      <c r="E55" s="12"/>
      <c r="H55" s="38" t="s">
        <v>48</v>
      </c>
    </row>
    <row r="56" spans="2:8" ht="17.25">
      <c r="B56" s="26"/>
      <c r="E56" s="12"/>
      <c r="H56" s="39" t="s">
        <v>49</v>
      </c>
    </row>
    <row r="57" spans="2:10" ht="15">
      <c r="B57" s="26"/>
      <c r="E57" s="12"/>
      <c r="G57" s="1"/>
      <c r="H57" s="1"/>
      <c r="I57" s="1"/>
      <c r="J57" s="1"/>
    </row>
    <row r="58" spans="2:10" ht="15">
      <c r="B58" s="26"/>
      <c r="E58" s="12"/>
      <c r="G58" s="1"/>
      <c r="H58" s="1"/>
      <c r="I58" s="1"/>
      <c r="J58" s="1"/>
    </row>
    <row r="59" spans="2:10" ht="15">
      <c r="B59" s="26"/>
      <c r="E59" s="12"/>
      <c r="G59" s="1"/>
      <c r="H59" s="1"/>
      <c r="I59" s="1"/>
      <c r="J59" s="1"/>
    </row>
    <row r="60" spans="2:10" ht="15">
      <c r="B60" s="26"/>
      <c r="E60" s="12"/>
      <c r="G60" s="1"/>
      <c r="H60" s="1"/>
      <c r="I60" s="1"/>
      <c r="J60" s="1"/>
    </row>
    <row r="61" spans="2:10" ht="15">
      <c r="B61" s="26"/>
      <c r="E61" s="12"/>
      <c r="G61" s="1"/>
      <c r="H61" s="1"/>
      <c r="I61" s="1"/>
      <c r="J61" s="1"/>
    </row>
    <row r="62" spans="2:10" ht="15">
      <c r="B62" s="26"/>
      <c r="E62" s="12"/>
      <c r="G62" s="1"/>
      <c r="H62" s="1"/>
      <c r="I62" s="1"/>
      <c r="J62" s="1"/>
    </row>
    <row r="63" spans="2:10" ht="15">
      <c r="B63" s="26"/>
      <c r="E63" s="12"/>
      <c r="G63" s="1"/>
      <c r="H63" s="1"/>
      <c r="I63" s="1"/>
      <c r="J63" s="1"/>
    </row>
    <row r="64" spans="2:10" ht="15">
      <c r="B64" s="26"/>
      <c r="E64" s="12"/>
      <c r="G64" s="1"/>
      <c r="H64" s="1"/>
      <c r="I64" s="1"/>
      <c r="J64" s="1"/>
    </row>
    <row r="65" spans="2:10" ht="16.5">
      <c r="B65" s="18" t="s">
        <v>9</v>
      </c>
      <c r="C65" s="19">
        <f>IF(AND(HeadImp=0,Res3=0,Res2=0,Res1=0),0,1/(IF(AND(HeadImp=0,Res3=0,Res2=0),0,1/(IF(AND(HeadImp=0,Res3=0),0,1/(IF(HeadImp=0,0,1/HeadImp)+IF(Res3=0,0,1/Res3)))+Res2))+IF(Res1=0,0,1/Res1)))</f>
        <v>4.407894736842105</v>
      </c>
      <c r="D65" s="29"/>
      <c r="E65" s="12"/>
      <c r="G65" s="1"/>
      <c r="H65" s="1"/>
      <c r="I65" s="1"/>
      <c r="J65" s="1"/>
    </row>
    <row r="66" spans="2:5" ht="16.5">
      <c r="B66" s="18" t="s">
        <v>12</v>
      </c>
      <c r="C66" s="19">
        <f>IF(AND(AmpOut=0,Res1=0,Res2=0,Res3=0),0,1/(IF(AND(AmpOut=0,Res1=0,Res2=0),0,1/((IF(AND(AmpOut=0,Res1=0),0,1/(IF(AmpOut=0,0,1/AmpOut)+IF(Res1=0,0,1/Res1))))+Res2))+IF(Res3=0,0,1/Res3)))</f>
        <v>1.5061124694376529</v>
      </c>
      <c r="D66" s="29"/>
      <c r="E66" s="12"/>
    </row>
    <row r="67" spans="2:5" ht="16.5">
      <c r="B67" s="21" t="s">
        <v>13</v>
      </c>
      <c r="C67" s="31">
        <f>IF(AND(Res2=0,Res3=0,HeadImp=0),0,LOG((1/(IF(Res3=0,0,1/Res3)+IF(HeadImp=0,0,1/HeadImp)))/((Res2+1/(IF(Res3=0,0,1/Res3)+IF(HeadImp=0,0,1/HeadImp)))),10)*-20)</f>
        <v>12.43909640089803</v>
      </c>
      <c r="D67" s="32" t="s">
        <v>28</v>
      </c>
      <c r="E67" s="24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scale="77"/>
  <headerFooter alignWithMargins="0">
    <oddHeader>&amp;C&amp;A</oddHeader>
    <oddFooter>&amp;CPage &amp;P</oddFooter>
  </headerFooter>
  <colBreaks count="1" manualBreakCount="1">
    <brk id="8" max="65535" man="1"/>
  </colBreaks>
  <drawing r:id="rId16"/>
  <legacyDrawing r:id="rId15"/>
  <oleObjects>
    <oleObject progId="Microsoft Equation 3.0" shapeId="113647358" r:id="rId2"/>
    <oleObject progId="Microsoft Equation 3.0" shapeId="113650074" r:id="rId3"/>
    <oleObject progId="Microsoft Equation 3.0" shapeId="113648380" r:id="rId4"/>
    <oleObject progId="Microsoft Equation 3.0" shapeId="113649276" r:id="rId5"/>
    <oleObject progId="Microsoft Equation 3.0" shapeId="113648072" r:id="rId6"/>
    <oleObject progId="Microsoft Equation 3.0" shapeId="113648114" r:id="rId7"/>
    <oleObject progId="Microsoft Equation 3.0" shapeId="113648100" r:id="rId8"/>
    <oleObject progId="Microsoft Equation 3.0" shapeId="113647988" r:id="rId9"/>
    <oleObject progId="Microsoft Equation 3.0" shapeId="113650130" r:id="rId10"/>
    <oleObject progId="Microsoft Equation 3.0" shapeId="113647848" r:id="rId11"/>
    <oleObject progId="Microsoft Equation 3.0" shapeId="113647106" r:id="rId12"/>
    <oleObject progId="Microsoft Equation 3.0" shapeId="113647764" r:id="rId13"/>
    <oleObject progId="Microsoft Equation 3.0" shapeId="113647750" r:id="rId1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30"/>
  <sheetViews>
    <sheetView zoomScale="75" zoomScaleNormal="75" workbookViewId="0" topLeftCell="A1">
      <selection activeCell="A11" sqref="A11"/>
    </sheetView>
  </sheetViews>
  <sheetFormatPr defaultColWidth="11.421875" defaultRowHeight="12.75"/>
  <cols>
    <col min="1" max="1" width="23.421875" style="2" customWidth="1"/>
    <col min="2" max="10" width="11.57421875" style="2" customWidth="1"/>
    <col min="11" max="11" width="20.00390625" style="2" customWidth="1"/>
    <col min="12" max="16384" width="11.57421875" style="2" customWidth="1"/>
  </cols>
  <sheetData>
    <row r="1" ht="23.25">
      <c r="A1" s="40" t="s">
        <v>50</v>
      </c>
    </row>
    <row r="2" ht="16.5">
      <c r="A2" s="29"/>
    </row>
    <row r="3" ht="16.5">
      <c r="A3" s="29" t="s">
        <v>51</v>
      </c>
    </row>
    <row r="4" ht="16.5">
      <c r="A4" s="2" t="s">
        <v>52</v>
      </c>
    </row>
    <row r="5" ht="16.5">
      <c r="A5" s="2" t="s">
        <v>53</v>
      </c>
    </row>
    <row r="6" ht="16.5">
      <c r="A6" s="2" t="s">
        <v>54</v>
      </c>
    </row>
    <row r="7" ht="16.5">
      <c r="A7" s="2" t="s">
        <v>55</v>
      </c>
    </row>
    <row r="9" ht="16.5">
      <c r="A9" s="2" t="s">
        <v>56</v>
      </c>
    </row>
    <row r="10" ht="16.5">
      <c r="A10" s="2" t="s">
        <v>57</v>
      </c>
    </row>
    <row r="11" ht="16.5">
      <c r="A11" s="41" t="s">
        <v>58</v>
      </c>
    </row>
    <row r="12" ht="17.25">
      <c r="A12" s="29" t="s">
        <v>59</v>
      </c>
    </row>
    <row r="13" ht="16.5">
      <c r="A13" s="2" t="s">
        <v>60</v>
      </c>
    </row>
    <row r="14" ht="17.25">
      <c r="A14" s="29" t="s">
        <v>61</v>
      </c>
    </row>
    <row r="15" ht="16.5">
      <c r="A15" s="2" t="s">
        <v>62</v>
      </c>
    </row>
    <row r="16" ht="17.25">
      <c r="A16" s="29" t="s">
        <v>63</v>
      </c>
    </row>
    <row r="17" ht="16.5">
      <c r="A17" s="2" t="s">
        <v>64</v>
      </c>
    </row>
    <row r="18" ht="16.5">
      <c r="A18" s="2" t="s">
        <v>65</v>
      </c>
    </row>
    <row r="19" ht="17.25">
      <c r="A19" s="29" t="s">
        <v>66</v>
      </c>
    </row>
    <row r="20" ht="16.5">
      <c r="A20" s="2" t="s">
        <v>67</v>
      </c>
    </row>
    <row r="21" ht="16.5">
      <c r="A21" s="2" t="s">
        <v>68</v>
      </c>
    </row>
    <row r="22" ht="17.25">
      <c r="A22" s="29" t="s">
        <v>69</v>
      </c>
    </row>
    <row r="24" ht="16.5">
      <c r="A24" s="29" t="s">
        <v>70</v>
      </c>
    </row>
    <row r="25" ht="16.5">
      <c r="A25" s="2" t="s">
        <v>71</v>
      </c>
    </row>
    <row r="26" ht="16.5">
      <c r="A26" s="42" t="s">
        <v>72</v>
      </c>
    </row>
    <row r="27" ht="16.5">
      <c r="A27" s="42" t="s">
        <v>73</v>
      </c>
    </row>
    <row r="28" ht="16.5">
      <c r="A28" s="2" t="s">
        <v>74</v>
      </c>
    </row>
    <row r="30" ht="16.5">
      <c r="A30" s="42" t="s">
        <v>75</v>
      </c>
    </row>
  </sheetData>
  <sheetProtection selectLockedCells="1" selectUnlockedCells="1"/>
  <hyperlinks>
    <hyperlink ref="A26" r:id="rId1" display="        Mouser part# 71-RS0056R000FB12 Vishay part# RS0056R000FB12 5watts 6ohms 1% "/>
    <hyperlink ref="A27" r:id="rId2" display="        Mouser part# 71-NS2B-2 Vishay part# NS02B2R000FB12 3watts 2ohms 1% "/>
    <hyperlink ref="A30" r:id="rId3" display="See this DIY on how to build a Headphone Resistor Network Interface Box"/>
  </hyperlinks>
  <printOptions/>
  <pageMargins left="0.7875" right="0.7875" top="1.025" bottom="1.025" header="0.7875" footer="0.7875"/>
  <pageSetup horizontalDpi="300" verticalDpi="300" orientation="portrait" scale="66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="75" zoomScaleNormal="75" workbookViewId="0" topLeftCell="A1">
      <selection activeCell="B11" sqref="B11"/>
    </sheetView>
  </sheetViews>
  <sheetFormatPr defaultColWidth="11.421875" defaultRowHeight="12.75"/>
  <cols>
    <col min="1" max="1" width="40.28125" style="1" customWidth="1"/>
    <col min="2" max="2" width="11.57421875" style="1" customWidth="1"/>
    <col min="3" max="3" width="2.00390625" style="1" customWidth="1"/>
    <col min="4" max="16384" width="11.57421875" style="1" customWidth="1"/>
  </cols>
  <sheetData>
    <row r="1" ht="15">
      <c r="A1" s="2"/>
    </row>
    <row r="2" ht="15">
      <c r="A2" s="2"/>
    </row>
    <row r="3" ht="15">
      <c r="A3" s="2"/>
    </row>
    <row r="4" ht="15">
      <c r="A4" s="2"/>
    </row>
    <row r="5" ht="15">
      <c r="A5" s="2"/>
    </row>
    <row r="6" ht="15">
      <c r="A6" s="2"/>
    </row>
    <row r="7" ht="15">
      <c r="A7" s="2"/>
    </row>
    <row r="8" ht="15">
      <c r="A8" s="2"/>
    </row>
    <row r="9" ht="15.75">
      <c r="A9" s="43" t="s">
        <v>76</v>
      </c>
    </row>
    <row r="10" ht="15">
      <c r="A10" s="38" t="s">
        <v>77</v>
      </c>
    </row>
    <row r="11" spans="1:4" ht="15.75">
      <c r="A11" s="44" t="s">
        <v>78</v>
      </c>
      <c r="B11" s="17">
        <v>10</v>
      </c>
      <c r="C11" s="2"/>
      <c r="D11" s="2" t="s">
        <v>79</v>
      </c>
    </row>
    <row r="12" ht="12.75"/>
    <row r="13" spans="1:2" ht="15.75">
      <c r="A13" s="45" t="s">
        <v>9</v>
      </c>
      <c r="B13" s="46">
        <f>IF(AND(HeadImp=0,Res4=0,Res3=0,Res2=0,Res1=0),0,1/(1/IF(AND(HeadImp=0,Res4=0,Res3=0),0,(1/(IF(AND(HeadImp=0,Res4=0),0,1/(HeadImp+Res4))+IF(Res3=0,0,1/Res3)))+Res2)+IF(Res1=0,0,1/Res1)))</f>
        <v>4.416243654822335</v>
      </c>
    </row>
    <row r="14" spans="1:2" ht="15.75">
      <c r="A14" s="45" t="s">
        <v>12</v>
      </c>
      <c r="B14" s="46">
        <f>IF(OR(AND(HeadImp=0,Res4=0,Res3=0,Res2=0,Res1=0),AND(HeadImp=0,Res3=0,Res2=0,Res1=0)),0,1/(1/IF(AND(AmpOut=0,Res1=0,Res2=0,Res3=0),0,((1/(IF(AmpOut=0,0,1/AmpOut)+IF(Res1=0,0,1/Res1))+Res2)+IF(Res3=0,0,1/Res3)))+Res4))</f>
        <v>0.09850724209281703</v>
      </c>
    </row>
    <row r="15" spans="1:3" ht="15.75">
      <c r="A15" s="45" t="s">
        <v>13</v>
      </c>
      <c r="B15" s="46">
        <f>IF(OR(AND(Res3=0,HeadImp=0),AND(Res2=0,Res3=0,Res4=0)),0,LOG(IF(Res3=0,HeadImp,Res3)/(Res2+Res3+Res4),10)*20)</f>
        <v>-19.084850188786497</v>
      </c>
      <c r="C15" s="1" t="s">
        <v>28</v>
      </c>
    </row>
    <row r="49" ht="12.75"/>
    <row r="50" ht="12.75"/>
    <row r="51" ht="12.75"/>
    <row r="54" ht="12.75"/>
    <row r="55" ht="12.75"/>
    <row r="59" ht="12.75"/>
    <row r="60" ht="12.75"/>
    <row r="61" ht="12.75"/>
    <row r="62" ht="12.75"/>
    <row r="63" ht="12.75"/>
    <row r="64" ht="12.75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6"/>
  <legacyDrawing r:id="rId5"/>
  <oleObjects>
    <oleObject progId="Microsoft Equation 3.0" shapeId="113640092" r:id="rId2"/>
    <oleObject progId="Microsoft Equation 3.0" shapeId="113640050" r:id="rId3"/>
    <oleObject progId="Microsoft Equation 3.0" shapeId="113639490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workbookViewId="0" topLeftCell="A1">
      <selection activeCell="J7" sqref="J7"/>
    </sheetView>
  </sheetViews>
  <sheetFormatPr defaultColWidth="11.421875" defaultRowHeight="12.75"/>
  <cols>
    <col min="1" max="1" width="6.8515625" style="2" customWidth="1"/>
    <col min="2" max="2" width="7.00390625" style="2" customWidth="1"/>
    <col min="3" max="3" width="16.57421875" style="2" customWidth="1"/>
    <col min="4" max="4" width="14.140625" style="2" customWidth="1"/>
    <col min="5" max="6" width="11.57421875" style="2" customWidth="1"/>
    <col min="7" max="7" width="7.57421875" style="2" customWidth="1"/>
    <col min="8" max="8" width="17.8515625" style="2" customWidth="1"/>
    <col min="9" max="9" width="13.140625" style="2" customWidth="1"/>
    <col min="10" max="16384" width="11.57421875" style="2" customWidth="1"/>
  </cols>
  <sheetData>
    <row r="1" spans="1:8" ht="20.25">
      <c r="A1" s="47" t="s">
        <v>80</v>
      </c>
      <c r="H1" s="48" t="s">
        <v>81</v>
      </c>
    </row>
    <row r="2" ht="15"/>
    <row r="3" ht="15"/>
    <row r="4" ht="15"/>
    <row r="5" ht="16.5" customHeight="1"/>
    <row r="6" ht="15"/>
    <row r="7" spans="1:10" ht="15.75">
      <c r="A7" s="49" t="s">
        <v>82</v>
      </c>
      <c r="B7" s="33"/>
      <c r="C7" s="33"/>
      <c r="D7" s="33"/>
      <c r="G7" s="1"/>
      <c r="I7" s="33" t="s">
        <v>83</v>
      </c>
      <c r="J7" s="50">
        <v>32</v>
      </c>
    </row>
    <row r="8" spans="1:9" ht="16.5">
      <c r="A8" s="51" t="s">
        <v>24</v>
      </c>
      <c r="B8" s="51" t="s">
        <v>26</v>
      </c>
      <c r="C8" s="51" t="s">
        <v>84</v>
      </c>
      <c r="D8" s="51" t="s">
        <v>85</v>
      </c>
      <c r="G8" s="51" t="s">
        <v>24</v>
      </c>
      <c r="H8" s="51" t="s">
        <v>84</v>
      </c>
      <c r="I8" s="51" t="s">
        <v>85</v>
      </c>
    </row>
    <row r="9" spans="1:9" ht="16.5">
      <c r="A9" s="33" t="s">
        <v>86</v>
      </c>
      <c r="B9" s="33" t="s">
        <v>86</v>
      </c>
      <c r="C9" s="33" t="s">
        <v>86</v>
      </c>
      <c r="D9" s="33" t="s">
        <v>28</v>
      </c>
      <c r="G9" s="33" t="s">
        <v>86</v>
      </c>
      <c r="H9" s="33" t="s">
        <v>86</v>
      </c>
      <c r="I9" s="33" t="s">
        <v>28</v>
      </c>
    </row>
    <row r="10" spans="1:9" ht="16.5">
      <c r="A10" s="2">
        <v>2</v>
      </c>
      <c r="B10" s="2">
        <v>7</v>
      </c>
      <c r="C10" s="2">
        <v>7.7</v>
      </c>
      <c r="D10" s="2">
        <v>2.6</v>
      </c>
      <c r="G10" s="2">
        <v>15</v>
      </c>
      <c r="H10" s="2">
        <f>J7+G10</f>
        <v>47</v>
      </c>
      <c r="I10" s="2">
        <v>3</v>
      </c>
    </row>
    <row r="11" spans="1:9" ht="16.5">
      <c r="A11" s="2">
        <v>3</v>
      </c>
      <c r="B11" s="2">
        <v>6</v>
      </c>
      <c r="C11" s="2">
        <v>8.1</v>
      </c>
      <c r="D11" s="2">
        <v>4</v>
      </c>
      <c r="G11" s="2">
        <v>40</v>
      </c>
      <c r="H11" s="2">
        <f>J7+G11</f>
        <v>72</v>
      </c>
      <c r="I11" s="2">
        <v>6</v>
      </c>
    </row>
    <row r="12" spans="1:9" ht="16.5">
      <c r="A12" s="2">
        <v>4</v>
      </c>
      <c r="B12" s="2">
        <v>5</v>
      </c>
      <c r="C12" s="2">
        <v>8.2</v>
      </c>
      <c r="D12" s="2">
        <v>5.6</v>
      </c>
      <c r="G12" s="2">
        <v>70</v>
      </c>
      <c r="H12" s="2">
        <f>J7+G12</f>
        <v>102</v>
      </c>
      <c r="I12" s="2">
        <v>9</v>
      </c>
    </row>
    <row r="13" spans="1:9" ht="16.5">
      <c r="A13" s="2">
        <v>5</v>
      </c>
      <c r="B13" s="2">
        <v>4</v>
      </c>
      <c r="C13" s="2">
        <v>8.5</v>
      </c>
      <c r="D13" s="2">
        <v>7.6</v>
      </c>
      <c r="G13" s="2">
        <v>110</v>
      </c>
      <c r="H13" s="2">
        <f>J7+G13</f>
        <v>142</v>
      </c>
      <c r="I13" s="2">
        <v>12</v>
      </c>
    </row>
    <row r="14" spans="1:9" ht="16.5">
      <c r="A14" s="2">
        <v>5</v>
      </c>
      <c r="B14" s="2">
        <v>3</v>
      </c>
      <c r="C14" s="2">
        <v>7.7</v>
      </c>
      <c r="D14" s="2">
        <v>9</v>
      </c>
      <c r="G14" s="2">
        <v>220</v>
      </c>
      <c r="H14" s="2">
        <f>J7+G14</f>
        <v>252</v>
      </c>
      <c r="I14" s="2">
        <v>18</v>
      </c>
    </row>
    <row r="15" spans="1:9" ht="16.5">
      <c r="A15" s="29">
        <v>6</v>
      </c>
      <c r="B15" s="29">
        <v>2</v>
      </c>
      <c r="C15" s="29">
        <v>7.9</v>
      </c>
      <c r="D15" s="29">
        <v>12.4</v>
      </c>
      <c r="G15" s="2">
        <v>540</v>
      </c>
      <c r="H15" s="2">
        <f>J7+G15</f>
        <v>572</v>
      </c>
      <c r="I15" s="2">
        <v>25</v>
      </c>
    </row>
    <row r="16" spans="1:9" ht="16.5">
      <c r="A16" s="2">
        <v>7</v>
      </c>
      <c r="B16" s="2">
        <v>1</v>
      </c>
      <c r="C16" s="2">
        <v>8</v>
      </c>
      <c r="D16" s="2">
        <v>18.3</v>
      </c>
      <c r="G16" s="2">
        <v>1000</v>
      </c>
      <c r="H16" s="2">
        <f>J7+G16</f>
        <v>1032</v>
      </c>
      <c r="I16" s="2">
        <v>30.2</v>
      </c>
    </row>
    <row r="17" spans="1:9" ht="16.5">
      <c r="A17" s="2">
        <v>8</v>
      </c>
      <c r="B17" s="2">
        <v>0.5</v>
      </c>
      <c r="C17" s="2">
        <v>8.5</v>
      </c>
      <c r="D17" s="2">
        <v>25</v>
      </c>
      <c r="G17" s="2">
        <v>3000</v>
      </c>
      <c r="H17" s="2">
        <f>J7+G17</f>
        <v>3032</v>
      </c>
      <c r="I17" s="2">
        <v>39.5</v>
      </c>
    </row>
    <row r="18" spans="1:4" ht="16.5">
      <c r="A18" s="2">
        <v>8</v>
      </c>
      <c r="B18" s="2">
        <v>0.25</v>
      </c>
      <c r="C18" s="2">
        <v>8.2</v>
      </c>
      <c r="D18" s="2">
        <v>30.4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Robinette</dc:creator>
  <cp:keywords/>
  <dc:description/>
  <cp:lastModifiedBy>Rob Robinette</cp:lastModifiedBy>
  <dcterms:created xsi:type="dcterms:W3CDTF">2013-11-29T20:37:15Z</dcterms:created>
  <dcterms:modified xsi:type="dcterms:W3CDTF">2014-02-06T14:39:24Z</dcterms:modified>
  <cp:category/>
  <cp:version/>
  <cp:contentType/>
  <cp:contentStatus/>
  <cp:revision>153</cp:revision>
</cp:coreProperties>
</file>